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ergiebelgie.sharepoint.com/sites/busdev/Gedeelde documenten/General/14. Dynamisch tarief/Requirements &amp; uitwerkingen/"/>
    </mc:Choice>
  </mc:AlternateContent>
  <xr:revisionPtr revIDLastSave="93" documentId="8_{11864F0D-E43C-4886-A048-EBB275894ED0}" xr6:coauthVersionLast="47" xr6:coauthVersionMax="47" xr10:uidLastSave="{78581541-2073-4C60-9CBE-DF640A69B2EF}"/>
  <bookViews>
    <workbookView xWindow="28680" yWindow="-120" windowWidth="38640" windowHeight="21120" activeTab="1" xr2:uid="{DDCE0D78-D954-4D3A-9B00-B18F0995EC3B}"/>
  </bookViews>
  <sheets>
    <sheet name="Berekening" sheetId="1" r:id="rId1"/>
    <sheet name="Tarieven" sheetId="2" r:id="rId2"/>
    <sheet name="Voorbeel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2" l="1"/>
  <c r="D27" i="2"/>
  <c r="D44" i="3" s="1"/>
  <c r="D29" i="3"/>
  <c r="D23" i="3"/>
  <c r="D22" i="3"/>
  <c r="D21" i="3"/>
  <c r="F26" i="2"/>
  <c r="D43" i="1" s="1"/>
  <c r="D26" i="2"/>
  <c r="F25" i="2"/>
  <c r="D25" i="2"/>
  <c r="D42" i="3" s="1"/>
  <c r="F24" i="2"/>
  <c r="D24" i="2"/>
  <c r="D41" i="3" s="1"/>
  <c r="F23" i="2"/>
  <c r="D23" i="2"/>
  <c r="D40" i="3" s="1"/>
  <c r="F22" i="2"/>
  <c r="D22" i="2"/>
  <c r="D39" i="3" s="1"/>
  <c r="F21" i="2"/>
  <c r="D21" i="2"/>
  <c r="D38" i="1" s="1"/>
  <c r="F20" i="2"/>
  <c r="D20" i="2"/>
  <c r="F19" i="2"/>
  <c r="D19" i="2"/>
  <c r="D36" i="3" s="1"/>
  <c r="F18" i="2"/>
  <c r="D18" i="2"/>
  <c r="D35" i="1" s="1"/>
  <c r="F17" i="2"/>
  <c r="D17" i="2"/>
  <c r="D34" i="1" s="1"/>
  <c r="F16" i="2"/>
  <c r="D16" i="2"/>
  <c r="D33" i="1" s="1"/>
  <c r="F13" i="2"/>
  <c r="D13" i="2"/>
  <c r="D32" i="1" s="1"/>
  <c r="F12" i="2"/>
  <c r="D31" i="1" s="1"/>
  <c r="D12" i="2"/>
  <c r="F11" i="2"/>
  <c r="D11" i="2"/>
  <c r="D30" i="3" s="1"/>
  <c r="F10" i="2"/>
  <c r="D10" i="2"/>
  <c r="F9" i="2"/>
  <c r="D9" i="2"/>
  <c r="D28" i="3" s="1"/>
  <c r="F8" i="2"/>
  <c r="D8" i="2"/>
  <c r="D27" i="1" s="1"/>
  <c r="F7" i="2"/>
  <c r="D7" i="2"/>
  <c r="D26" i="3" s="1"/>
  <c r="F6" i="2"/>
  <c r="D6" i="2"/>
  <c r="F5" i="2"/>
  <c r="D5" i="2"/>
  <c r="D24" i="3" s="1"/>
  <c r="F4" i="2"/>
  <c r="D4" i="2"/>
  <c r="F3" i="2"/>
  <c r="D3" i="2"/>
  <c r="F2" i="2"/>
  <c r="D2" i="2"/>
  <c r="D41" i="1"/>
  <c r="D29" i="1"/>
  <c r="D23" i="1"/>
  <c r="D22" i="1"/>
  <c r="D21" i="1"/>
  <c r="D44" i="1" l="1"/>
  <c r="D32" i="3"/>
  <c r="D33" i="3"/>
  <c r="D34" i="3"/>
  <c r="D35" i="3"/>
  <c r="D25" i="1"/>
  <c r="D31" i="3"/>
  <c r="D37" i="3"/>
  <c r="D43" i="3"/>
  <c r="D38" i="3"/>
  <c r="D24" i="1"/>
  <c r="D25" i="3"/>
  <c r="A47" i="3" s="1"/>
  <c r="A50" i="3" s="1"/>
  <c r="D39" i="1"/>
  <c r="D27" i="3"/>
  <c r="D36" i="1"/>
  <c r="D37" i="1"/>
  <c r="D26" i="1"/>
  <c r="D28" i="1"/>
  <c r="D40" i="1"/>
  <c r="D30" i="1"/>
  <c r="D42" i="1"/>
  <c r="A47" i="1" l="1"/>
  <c r="A50" i="1" s="1"/>
</calcChain>
</file>

<file path=xl/sharedStrings.xml><?xml version="1.0" encoding="utf-8"?>
<sst xmlns="http://schemas.openxmlformats.org/spreadsheetml/2006/main" count="111" uniqueCount="73">
  <si>
    <t>CHECK HIER OF JE GOED AF BENT MET JE DYNAMISCH TARIEF</t>
  </si>
  <si>
    <t>Een dynamisch tarief kan interessant zijn indien je grote verbruikers hebt die je slim kan aansturen.</t>
  </si>
  <si>
    <t>Sommige klanten zijn echter toch beter af met een variabel tarief.</t>
  </si>
  <si>
    <t>Check via dit eenvoudige rekenblad of jij goed bent met jouw dynamisch tarief.</t>
  </si>
  <si>
    <t>STAPPENPLAN</t>
  </si>
  <si>
    <t>1) Zoek op jouw afrekening de kosten voor energie op. Hiernaast vind je een voorbeeld van waar je deze kan vinden op onze facturen.</t>
  </si>
  <si>
    <t>2) Vul deze kosten in in het blauwe vakje. In ons voorbeeld zou dit dus het bedrag van €268,85.</t>
  </si>
  <si>
    <t>3) Vervolgens vul je jouw maandelijkse verbruiken in in de gele vakjes. De maanden die buiten jouw afrekening vallen, laat je blanco.</t>
  </si>
  <si>
    <t>4) Indien je zonnepanelen hebt, vul je ook jouw maandelijkse injectie in in de groene vakjes.</t>
  </si>
  <si>
    <t>Ter info, de verbruiken en injectie kan je terugvinden in jouw klantenzone.</t>
  </si>
  <si>
    <t>5) De prijs voor jouw variabel tarief vind je terug in het oranje vakje.</t>
  </si>
  <si>
    <t xml:space="preserve"> Het verschil in prijs tussen jouw dynamisch contract en een variabel contract kan je aflezen in het roze vakje.</t>
  </si>
  <si>
    <t>Energiekost dynamisch tarief:</t>
  </si>
  <si>
    <t>Verbruik en injectie:</t>
  </si>
  <si>
    <t>Maand</t>
  </si>
  <si>
    <t>Verbruik (kWh)</t>
  </si>
  <si>
    <t>Injectie (kWh)</t>
  </si>
  <si>
    <t>Kost (€)</t>
  </si>
  <si>
    <t>EXTRA INFORMATIE</t>
  </si>
  <si>
    <t>De kost van een variabel tarief voor jouw verbruik werd berekend door voor elke maand jouw afnameverbruik te vermenigvuldigen</t>
  </si>
  <si>
    <t xml:space="preserve">met het afnametarief dat je in het tabblad "Tarieven" kan terugvinden en hiervan jouw injectie vermenigvuldigd met het </t>
  </si>
  <si>
    <t>injectietarief van af te trekken. Hierna werd de som van alle maanden gemaakt</t>
  </si>
  <si>
    <t>De tariefformule van een variabel tarief blijft normaal gezien hetzelfde gedurende jouw hele contract. Voor deze berekening</t>
  </si>
  <si>
    <t xml:space="preserve">hebben we echter elke maand de tariefformule van die maand genomen en dit tarief vermenigvuldigd met jouw verbruik van die </t>
  </si>
  <si>
    <t>maand. Dit deden we om een zo algemeen mogelijke vergelijking uit te voeren en een gemiddelde vergelijking uit te voeren.</t>
  </si>
  <si>
    <t xml:space="preserve">Indien je graag een vergelijking maakt met de tariefformule die van toepassing was gedurende jouw contract, kan je de formule </t>
  </si>
  <si>
    <t>van de start van jouw contract zoeken en hierin elke maand de indexatieparameter invullen. Deze prijzen kan je dan vermenigvuldigen</t>
  </si>
  <si>
    <t>met jouw verbruiken.</t>
  </si>
  <si>
    <t>Energiekost variabel tarief</t>
  </si>
  <si>
    <t>VERSCHIL DYNAMISCH MET VARIABEL TARIEF</t>
  </si>
  <si>
    <t>Indien dit verschil negatief is, ben je beter af met een variabel tarief.</t>
  </si>
  <si>
    <t>Variabel tarief (c€/kWh)</t>
  </si>
  <si>
    <t>Injectietarief (c€/kWh)</t>
  </si>
  <si>
    <t>Hier geven we even wat extra informatie bij de tariefformules voor de geïnteresseerden.</t>
  </si>
  <si>
    <t xml:space="preserve">Hiernaast is voor elke maand het variabel tarief en het injectietarief berekend. </t>
  </si>
  <si>
    <r>
      <t>Bij een variabel contract volgt de energieprijs de marktprijs en werkt je leverancier met </t>
    </r>
    <r>
      <rPr>
        <b/>
        <sz val="10"/>
        <color rgb="FF000000"/>
        <rFont val="Arial"/>
        <family val="2"/>
      </rPr>
      <t>de tariefformule</t>
    </r>
  </si>
  <si>
    <t xml:space="preserve">“prijs per kWh = a * X + b”. </t>
  </si>
  <si>
    <t xml:space="preserve"> Je leverancier bepaalt elke maand de parameters “a” en “b”. Deze blijven hetzelfde gedurende jouw contract.</t>
  </si>
  <si>
    <t>"X" weerspiegelt de marktprijs en noemen we de indexatieparameter. Deze verandert maandelijks.</t>
  </si>
  <si>
    <t xml:space="preserve">Ook het injectietarief volgt een tariefformule. </t>
  </si>
  <si>
    <t xml:space="preserve">Het variabel tarief en injectietarief zijn dus berekend door de indexatieparameter in te vullen in de </t>
  </si>
  <si>
    <t>tariefformule van die maand. De prijzen zijn inclusief BTW van 6%.</t>
  </si>
  <si>
    <t>In dit geval ben je dus beter af met een variabel tarief.</t>
  </si>
  <si>
    <t>Tariefformule</t>
  </si>
  <si>
    <t>0,1068*B2+1</t>
  </si>
  <si>
    <t>0,1068*B3+1</t>
  </si>
  <si>
    <t>0,1068*B4+1</t>
  </si>
  <si>
    <t>0,1068*B5+1</t>
  </si>
  <si>
    <t>0,1058*B6+1</t>
  </si>
  <si>
    <t>0,1058*B7+1</t>
  </si>
  <si>
    <t>0,1058*B8+1</t>
  </si>
  <si>
    <t>0,1058*B9+1,5</t>
  </si>
  <si>
    <t>0,1058*B10+1,2</t>
  </si>
  <si>
    <t>0,1058*B11+1,5</t>
  </si>
  <si>
    <t>0,1058*B12+1,2</t>
  </si>
  <si>
    <t>0,1058*B13+1,2</t>
  </si>
  <si>
    <t>0,1058*B16+1,2</t>
  </si>
  <si>
    <t>0,1058*B17+1,2</t>
  </si>
  <si>
    <t>0,1058*B18+1</t>
  </si>
  <si>
    <t>0,1058*B19+1</t>
  </si>
  <si>
    <t>0,1058*B20+1</t>
  </si>
  <si>
    <t>0,1058*B21+1</t>
  </si>
  <si>
    <t>0,1058*B22+1</t>
  </si>
  <si>
    <t>0,1058*B23+1,2</t>
  </si>
  <si>
    <t>0,1058*B24+1,2</t>
  </si>
  <si>
    <t>0,1058*B25+1,2</t>
  </si>
  <si>
    <t>0,1058*B26+1,2</t>
  </si>
  <si>
    <t>De indexatieparameter vind je via volgende link:</t>
  </si>
  <si>
    <t>https://energie.blob.core.windows.net/cms/assets/Indexation_Parameters_5aad2d327b.pdf</t>
  </si>
  <si>
    <t xml:space="preserve">Je kan de tariefkaarten ook steeds terugvinden via volgende link: https://www.energie.be/nl/tarief#tariff-types </t>
  </si>
  <si>
    <t>0,1058*B27+1,2</t>
  </si>
  <si>
    <t>Indexatieparameter afname (€/MWh)</t>
  </si>
  <si>
    <t>Injectie indexatieparameter (€/MWh)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</si>
</sst>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C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44" fontId="0" fillId="2" borderId="0" xfId="1" applyFont="1" applyFill="1"/>
    <xf numFmtId="0" fontId="2" fillId="3" borderId="0" xfId="0" applyFont="1" applyFill="1"/>
    <xf numFmtId="0" fontId="0" fillId="3" borderId="0" xfId="0" applyFill="1"/>
    <xf numFmtId="17" fontId="0" fillId="0" borderId="0" xfId="0" applyNumberFormat="1"/>
    <xf numFmtId="0" fontId="0" fillId="4" borderId="0" xfId="0" applyFill="1"/>
    <xf numFmtId="0" fontId="0" fillId="5" borderId="0" xfId="0" applyFill="1"/>
    <xf numFmtId="44" fontId="0" fillId="0" borderId="0" xfId="1" applyFont="1"/>
    <xf numFmtId="44" fontId="0" fillId="6" borderId="0" xfId="1" applyFont="1" applyFill="1"/>
    <xf numFmtId="44" fontId="0" fillId="7" borderId="0" xfId="1" applyFont="1" applyFill="1"/>
    <xf numFmtId="2" fontId="0" fillId="0" borderId="0" xfId="0" applyNumberFormat="1"/>
    <xf numFmtId="0" fontId="3" fillId="3" borderId="0" xfId="0" applyFont="1" applyFill="1"/>
    <xf numFmtId="0" fontId="0" fillId="7" borderId="0" xfId="0" applyFill="1"/>
    <xf numFmtId="0" fontId="5" fillId="3" borderId="0" xfId="2" applyFill="1"/>
  </cellXfs>
  <cellStyles count="3">
    <cellStyle name="Hyperlink" xfId="2" builtinId="8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15240</xdr:colOff>
      <xdr:row>4</xdr:row>
      <xdr:rowOff>167640</xdr:rowOff>
    </xdr:from>
    <xdr:to>
      <xdr:col>16</xdr:col>
      <xdr:colOff>548378</xdr:colOff>
      <xdr:row>16</xdr:row>
      <xdr:rowOff>3810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29221F4-34A7-4B3F-9232-D849B3F99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7200" y="899160"/>
          <a:ext cx="2971538" cy="20307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15240</xdr:colOff>
      <xdr:row>4</xdr:row>
      <xdr:rowOff>167640</xdr:rowOff>
    </xdr:from>
    <xdr:to>
      <xdr:col>16</xdr:col>
      <xdr:colOff>548378</xdr:colOff>
      <xdr:row>16</xdr:row>
      <xdr:rowOff>3810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5D84063-EA86-4A65-89E5-907A2D616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7200" y="899160"/>
          <a:ext cx="2971538" cy="2030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energie.blob.core.windows.net/cms/assets/Indexation_Parameters_5aad2d327b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56CCF-0FFC-483B-A77E-435AC96E4B07}">
  <dimension ref="A1:U52"/>
  <sheetViews>
    <sheetView workbookViewId="0">
      <selection activeCell="D30" sqref="D30"/>
    </sheetView>
  </sheetViews>
  <sheetFormatPr defaultRowHeight="14.4" x14ac:dyDescent="0.3"/>
  <cols>
    <col min="2" max="2" width="13.88671875" bestFit="1" customWidth="1"/>
    <col min="3" max="3" width="12.88671875" bestFit="1" customWidth="1"/>
    <col min="4" max="4" width="10.77734375" bestFit="1" customWidth="1"/>
  </cols>
  <sheetData>
    <row r="1" spans="1:1" x14ac:dyDescent="0.3">
      <c r="A1" s="1" t="s">
        <v>0</v>
      </c>
    </row>
    <row r="2" spans="1:1" x14ac:dyDescent="0.3">
      <c r="A2" t="s">
        <v>1</v>
      </c>
    </row>
    <row r="3" spans="1:1" x14ac:dyDescent="0.3">
      <c r="A3" t="s">
        <v>2</v>
      </c>
    </row>
    <row r="4" spans="1:1" x14ac:dyDescent="0.3">
      <c r="A4" t="s">
        <v>3</v>
      </c>
    </row>
    <row r="6" spans="1:1" x14ac:dyDescent="0.3">
      <c r="A6" s="1" t="s">
        <v>4</v>
      </c>
    </row>
    <row r="7" spans="1:1" x14ac:dyDescent="0.3">
      <c r="A7" t="s">
        <v>5</v>
      </c>
    </row>
    <row r="8" spans="1:1" x14ac:dyDescent="0.3">
      <c r="A8" t="s">
        <v>6</v>
      </c>
    </row>
    <row r="9" spans="1:1" x14ac:dyDescent="0.3">
      <c r="A9" t="s">
        <v>7</v>
      </c>
    </row>
    <row r="10" spans="1:1" x14ac:dyDescent="0.3">
      <c r="A10" t="s">
        <v>8</v>
      </c>
    </row>
    <row r="11" spans="1:1" x14ac:dyDescent="0.3">
      <c r="A11" t="s">
        <v>9</v>
      </c>
    </row>
    <row r="12" spans="1:1" x14ac:dyDescent="0.3">
      <c r="A12" t="s">
        <v>10</v>
      </c>
    </row>
    <row r="13" spans="1:1" x14ac:dyDescent="0.3">
      <c r="A13" t="s">
        <v>11</v>
      </c>
    </row>
    <row r="16" spans="1:1" x14ac:dyDescent="0.3">
      <c r="A16" t="s">
        <v>12</v>
      </c>
    </row>
    <row r="17" spans="1:21" x14ac:dyDescent="0.3">
      <c r="A17" s="2"/>
    </row>
    <row r="19" spans="1:21" x14ac:dyDescent="0.3">
      <c r="A19" t="s">
        <v>13</v>
      </c>
    </row>
    <row r="20" spans="1:21" x14ac:dyDescent="0.3">
      <c r="A20" t="s">
        <v>14</v>
      </c>
      <c r="B20" t="s">
        <v>15</v>
      </c>
      <c r="C20" t="s">
        <v>16</v>
      </c>
      <c r="D20" t="s">
        <v>17</v>
      </c>
      <c r="J20" s="3" t="s">
        <v>18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x14ac:dyDescent="0.3">
      <c r="A21" s="5">
        <v>44927</v>
      </c>
      <c r="B21" s="6"/>
      <c r="C21" s="7"/>
      <c r="D21" s="8">
        <f>(B21*Tarieven!D2-Berekening!C21*Tarieven!F2)/100</f>
        <v>0</v>
      </c>
      <c r="J21" s="4" t="s">
        <v>19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x14ac:dyDescent="0.3">
      <c r="A22" s="5">
        <v>44958</v>
      </c>
      <c r="B22" s="6"/>
      <c r="C22" s="7"/>
      <c r="D22" s="8">
        <f>(B22*Tarieven!D3-Berekening!C22*Tarieven!F3)/100</f>
        <v>0</v>
      </c>
      <c r="J22" s="4" t="s">
        <v>20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x14ac:dyDescent="0.3">
      <c r="A23" s="5">
        <v>44986</v>
      </c>
      <c r="B23" s="6"/>
      <c r="C23" s="7"/>
      <c r="D23" s="8">
        <f>(B23*Tarieven!D4-Berekening!C23*Tarieven!F4)/100</f>
        <v>0</v>
      </c>
      <c r="J23" s="4" t="s">
        <v>21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x14ac:dyDescent="0.3">
      <c r="A24" s="5">
        <v>45017</v>
      </c>
      <c r="B24" s="6"/>
      <c r="C24" s="7"/>
      <c r="D24" s="8">
        <f>(B24*Tarieven!D5-Berekening!C24*Tarieven!F5)/100</f>
        <v>0</v>
      </c>
      <c r="J24" s="4" t="s">
        <v>22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x14ac:dyDescent="0.3">
      <c r="A25" s="5">
        <v>45047</v>
      </c>
      <c r="B25" s="6"/>
      <c r="C25" s="7"/>
      <c r="D25" s="8">
        <f>(B25*Tarieven!D6-Berekening!C25*Tarieven!F6)/100</f>
        <v>0</v>
      </c>
      <c r="J25" s="4" t="s">
        <v>23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x14ac:dyDescent="0.3">
      <c r="A26" s="5">
        <v>45078</v>
      </c>
      <c r="B26" s="6"/>
      <c r="C26" s="7"/>
      <c r="D26" s="8">
        <f>(B26*Tarieven!D7-Berekening!C26*Tarieven!F7)/100</f>
        <v>0</v>
      </c>
      <c r="J26" s="4" t="s">
        <v>24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x14ac:dyDescent="0.3">
      <c r="A27" s="5">
        <v>45108</v>
      </c>
      <c r="B27" s="6"/>
      <c r="C27" s="7"/>
      <c r="D27" s="8">
        <f>(B27*Tarieven!D8-Berekening!C27*Tarieven!F8)/100</f>
        <v>0</v>
      </c>
      <c r="J27" s="4" t="s">
        <v>25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x14ac:dyDescent="0.3">
      <c r="A28" s="5">
        <v>45139</v>
      </c>
      <c r="B28" s="6"/>
      <c r="C28" s="7"/>
      <c r="D28" s="8">
        <f>(B28*Tarieven!D9-Berekening!C28*Tarieven!F9)/100</f>
        <v>0</v>
      </c>
      <c r="J28" s="4" t="s">
        <v>26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x14ac:dyDescent="0.3">
      <c r="A29" s="5">
        <v>45170</v>
      </c>
      <c r="B29" s="6"/>
      <c r="C29" s="7"/>
      <c r="D29" s="8">
        <f>(B29*Tarieven!D10-Berekening!C29*Tarieven!F10)/100</f>
        <v>0</v>
      </c>
      <c r="J29" s="4" t="s">
        <v>27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x14ac:dyDescent="0.3">
      <c r="A30" s="5">
        <v>45200</v>
      </c>
      <c r="B30" s="6"/>
      <c r="C30" s="7"/>
      <c r="D30" s="8">
        <f>(B30*Tarieven!D11-Berekening!C30*Tarieven!F11)/100</f>
        <v>0</v>
      </c>
    </row>
    <row r="31" spans="1:21" x14ac:dyDescent="0.3">
      <c r="A31" s="5">
        <v>45231</v>
      </c>
      <c r="B31" s="6"/>
      <c r="C31" s="7"/>
      <c r="D31" s="8">
        <f>(B31*Tarieven!D12-Berekening!C31*Tarieven!F12)/100</f>
        <v>0</v>
      </c>
    </row>
    <row r="32" spans="1:21" x14ac:dyDescent="0.3">
      <c r="A32" s="5">
        <v>45261</v>
      </c>
      <c r="B32" s="6"/>
      <c r="C32" s="7"/>
      <c r="D32" s="8">
        <f>(B32*Tarieven!D13-Berekening!C32*Tarieven!F13)/100</f>
        <v>0</v>
      </c>
    </row>
    <row r="33" spans="1:4" x14ac:dyDescent="0.3">
      <c r="A33" s="5">
        <v>45292</v>
      </c>
      <c r="B33" s="6"/>
      <c r="C33" s="7"/>
      <c r="D33" s="8">
        <f>(B33*Tarieven!D16-Berekening!C33*Tarieven!F16)/100</f>
        <v>0</v>
      </c>
    </row>
    <row r="34" spans="1:4" x14ac:dyDescent="0.3">
      <c r="A34" s="5">
        <v>45323</v>
      </c>
      <c r="B34" s="6"/>
      <c r="C34" s="7"/>
      <c r="D34" s="8">
        <f>(B34*Tarieven!D17-Berekening!C34*Tarieven!F17)/100</f>
        <v>0</v>
      </c>
    </row>
    <row r="35" spans="1:4" x14ac:dyDescent="0.3">
      <c r="A35" s="5">
        <v>45352</v>
      </c>
      <c r="B35" s="6"/>
      <c r="C35" s="7"/>
      <c r="D35" s="8">
        <f>(B35*Tarieven!D18-Berekening!C35*Tarieven!F18)/100</f>
        <v>0</v>
      </c>
    </row>
    <row r="36" spans="1:4" x14ac:dyDescent="0.3">
      <c r="A36" s="5">
        <v>45383</v>
      </c>
      <c r="B36" s="6"/>
      <c r="C36" s="7"/>
      <c r="D36" s="8">
        <f>(B36*Tarieven!D19-Berekening!C36*Tarieven!F19)/100</f>
        <v>0</v>
      </c>
    </row>
    <row r="37" spans="1:4" x14ac:dyDescent="0.3">
      <c r="A37" s="5">
        <v>45413</v>
      </c>
      <c r="B37" s="6"/>
      <c r="C37" s="7"/>
      <c r="D37" s="8">
        <f>(B37*Tarieven!D20-Berekening!C37*Tarieven!F20)/100</f>
        <v>0</v>
      </c>
    </row>
    <row r="38" spans="1:4" x14ac:dyDescent="0.3">
      <c r="A38" s="5">
        <v>45444</v>
      </c>
      <c r="B38" s="6"/>
      <c r="C38" s="7"/>
      <c r="D38" s="8">
        <f>(B38*Tarieven!D21-Berekening!C38*Tarieven!F21)/100</f>
        <v>0</v>
      </c>
    </row>
    <row r="39" spans="1:4" x14ac:dyDescent="0.3">
      <c r="A39" s="5">
        <v>45474</v>
      </c>
      <c r="B39" s="6"/>
      <c r="C39" s="7"/>
      <c r="D39" s="8">
        <f>(B39*Tarieven!D22-Berekening!C39*Tarieven!F22)/100</f>
        <v>0</v>
      </c>
    </row>
    <row r="40" spans="1:4" x14ac:dyDescent="0.3">
      <c r="A40" s="5">
        <v>45505</v>
      </c>
      <c r="B40" s="6"/>
      <c r="C40" s="7"/>
      <c r="D40" s="8">
        <f>(B40*Tarieven!D23-Berekening!C40*Tarieven!F23)/100</f>
        <v>0</v>
      </c>
    </row>
    <row r="41" spans="1:4" x14ac:dyDescent="0.3">
      <c r="A41" s="5">
        <v>45536</v>
      </c>
      <c r="B41" s="6"/>
      <c r="C41" s="7"/>
      <c r="D41" s="8">
        <f>(B41*Tarieven!D24-Berekening!C41*Tarieven!F24)/100</f>
        <v>0</v>
      </c>
    </row>
    <row r="42" spans="1:4" x14ac:dyDescent="0.3">
      <c r="A42" s="5">
        <v>45566</v>
      </c>
      <c r="B42" s="6"/>
      <c r="C42" s="7"/>
      <c r="D42" s="8">
        <f>(B42*Tarieven!D25-Berekening!C42*Tarieven!F25)/100</f>
        <v>0</v>
      </c>
    </row>
    <row r="43" spans="1:4" x14ac:dyDescent="0.3">
      <c r="A43" s="5">
        <v>45597</v>
      </c>
      <c r="B43" s="6"/>
      <c r="C43" s="7"/>
      <c r="D43" s="8">
        <f>(B43*Tarieven!D26-Berekening!C43*Tarieven!F26)/100</f>
        <v>0</v>
      </c>
    </row>
    <row r="44" spans="1:4" x14ac:dyDescent="0.3">
      <c r="A44" s="5">
        <v>45627</v>
      </c>
      <c r="B44" s="6"/>
      <c r="C44" s="7"/>
      <c r="D44" s="8">
        <f>(B44*Tarieven!D27-Berekening!C44*Tarieven!F27)/100</f>
        <v>0</v>
      </c>
    </row>
    <row r="46" spans="1:4" x14ac:dyDescent="0.3">
      <c r="A46" t="s">
        <v>28</v>
      </c>
    </row>
    <row r="47" spans="1:4" x14ac:dyDescent="0.3">
      <c r="A47" s="9">
        <f>SUM(D21:D44)</f>
        <v>0</v>
      </c>
    </row>
    <row r="49" spans="1:1" x14ac:dyDescent="0.3">
      <c r="A49" t="s">
        <v>29</v>
      </c>
    </row>
    <row r="50" spans="1:1" x14ac:dyDescent="0.3">
      <c r="A50" s="10">
        <f>A47-A17</f>
        <v>0</v>
      </c>
    </row>
    <row r="52" spans="1:1" x14ac:dyDescent="0.3">
      <c r="A52" t="s">
        <v>30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03EDD-A966-473E-9A8B-E92F41E97EA1}">
  <dimension ref="A1:R27"/>
  <sheetViews>
    <sheetView tabSelected="1" workbookViewId="0">
      <selection activeCell="F30" sqref="F30"/>
    </sheetView>
  </sheetViews>
  <sheetFormatPr defaultRowHeight="14.4" x14ac:dyDescent="0.3"/>
  <cols>
    <col min="1" max="1" width="14.44140625" customWidth="1"/>
    <col min="2" max="2" width="33.88671875" bestFit="1" customWidth="1"/>
    <col min="3" max="3" width="24.44140625" customWidth="1"/>
    <col min="4" max="4" width="21.88671875" bestFit="1" customWidth="1"/>
    <col min="5" max="5" width="34" bestFit="1" customWidth="1"/>
    <col min="6" max="6" width="20.5546875" bestFit="1" customWidth="1"/>
  </cols>
  <sheetData>
    <row r="1" spans="1:18" x14ac:dyDescent="0.3">
      <c r="A1" s="1" t="s">
        <v>14</v>
      </c>
      <c r="B1" s="1" t="s">
        <v>71</v>
      </c>
      <c r="C1" s="1" t="s">
        <v>43</v>
      </c>
      <c r="D1" s="1" t="s">
        <v>31</v>
      </c>
      <c r="E1" s="1" t="s">
        <v>72</v>
      </c>
      <c r="F1" s="1" t="s">
        <v>32</v>
      </c>
      <c r="I1" s="3" t="s">
        <v>18</v>
      </c>
      <c r="J1" s="4"/>
      <c r="K1" s="4"/>
      <c r="L1" s="4"/>
      <c r="M1" s="4"/>
      <c r="N1" s="4"/>
      <c r="O1" s="4"/>
      <c r="P1" s="4"/>
      <c r="Q1" s="4"/>
      <c r="R1" s="4"/>
    </row>
    <row r="2" spans="1:18" x14ac:dyDescent="0.3">
      <c r="A2" s="5">
        <v>44927</v>
      </c>
      <c r="B2" s="11">
        <v>131.28</v>
      </c>
      <c r="C2" s="11" t="s">
        <v>44</v>
      </c>
      <c r="D2" s="11">
        <f>(0.1068*B2+1)*1.06</f>
        <v>15.92194624</v>
      </c>
      <c r="E2">
        <v>144.6</v>
      </c>
      <c r="F2" s="11">
        <f>(0.085*E2)*1.06</f>
        <v>13.028460000000001</v>
      </c>
      <c r="I2" s="4" t="s">
        <v>33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A3" s="5">
        <v>44958</v>
      </c>
      <c r="B3" s="11">
        <v>131.28</v>
      </c>
      <c r="C3" s="11" t="s">
        <v>45</v>
      </c>
      <c r="D3" s="11">
        <f t="shared" ref="D3:D4" si="0">(0.1068*B3+1)*1.06</f>
        <v>15.92194624</v>
      </c>
      <c r="E3">
        <v>131.13</v>
      </c>
      <c r="F3" s="11">
        <f t="shared" ref="F3:F5" si="1">(0.085*E3)*1.06</f>
        <v>11.814813000000001</v>
      </c>
      <c r="I3" s="4" t="s">
        <v>34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A4" s="5">
        <v>44986</v>
      </c>
      <c r="B4" s="11">
        <v>131.28</v>
      </c>
      <c r="C4" s="11" t="s">
        <v>46</v>
      </c>
      <c r="D4" s="11">
        <f t="shared" si="0"/>
        <v>15.92194624</v>
      </c>
      <c r="E4">
        <v>94.01</v>
      </c>
      <c r="F4" s="11">
        <f t="shared" si="1"/>
        <v>8.470301000000001</v>
      </c>
      <c r="I4" s="12" t="s">
        <v>35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A5" s="5">
        <v>45017</v>
      </c>
      <c r="B5" s="11">
        <v>93.86</v>
      </c>
      <c r="C5" s="11" t="s">
        <v>47</v>
      </c>
      <c r="D5" s="11">
        <f>(0.1068*B5+1)*1.06</f>
        <v>11.685702880000001</v>
      </c>
      <c r="E5">
        <v>89.99</v>
      </c>
      <c r="F5" s="11">
        <f t="shared" si="1"/>
        <v>8.1080989999999993</v>
      </c>
      <c r="I5" s="4" t="s">
        <v>36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A6" s="5">
        <v>45047</v>
      </c>
      <c r="B6" s="11">
        <v>93.86</v>
      </c>
      <c r="C6" s="11" t="s">
        <v>48</v>
      </c>
      <c r="D6" s="11">
        <f>(0.1058*B6+1)*1.06</f>
        <v>11.586211280000001</v>
      </c>
      <c r="E6">
        <v>61.24</v>
      </c>
      <c r="F6" s="11">
        <f>(0.08*E6)*1.06</f>
        <v>5.1931520000000004</v>
      </c>
      <c r="I6" s="4" t="s">
        <v>37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A7" s="5">
        <v>45078</v>
      </c>
      <c r="B7" s="11">
        <v>93.86</v>
      </c>
      <c r="C7" s="11" t="s">
        <v>49</v>
      </c>
      <c r="D7" s="11">
        <f>(0.1058*B7+1)*1.06</f>
        <v>11.586211280000001</v>
      </c>
      <c r="E7">
        <v>77.680000000000007</v>
      </c>
      <c r="F7" s="11">
        <f>(0.08*E7)*1.06</f>
        <v>6.5872640000000011</v>
      </c>
      <c r="I7" s="4" t="s">
        <v>38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A8" s="5">
        <v>45108</v>
      </c>
      <c r="B8" s="11">
        <v>88.79</v>
      </c>
      <c r="C8" s="11" t="s">
        <v>50</v>
      </c>
      <c r="D8" s="11">
        <f t="shared" ref="D8" si="2">(0.1058*B8+1)*1.06</f>
        <v>11.017620920000002</v>
      </c>
      <c r="E8">
        <v>55.81</v>
      </c>
      <c r="F8" s="11">
        <f t="shared" ref="F8:F10" si="3">(0.08*E8)*1.06</f>
        <v>4.7326880000000005</v>
      </c>
      <c r="I8" s="4" t="s">
        <v>39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A9" s="5">
        <v>45139</v>
      </c>
      <c r="B9" s="11">
        <v>88.79</v>
      </c>
      <c r="C9" s="11" t="s">
        <v>51</v>
      </c>
      <c r="D9" s="11">
        <f>(0.1058*B9+1.5)*1.06</f>
        <v>11.547620920000002</v>
      </c>
      <c r="E9">
        <v>73.739999999999995</v>
      </c>
      <c r="F9" s="11">
        <f t="shared" si="3"/>
        <v>6.253152</v>
      </c>
      <c r="I9" s="4" t="s">
        <v>40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A10" s="5">
        <v>45170</v>
      </c>
      <c r="B10" s="11">
        <v>97.17</v>
      </c>
      <c r="C10" s="11" t="s">
        <v>52</v>
      </c>
      <c r="D10" s="11">
        <f>(0.1058*B10+1.2)*1.06</f>
        <v>12.169421160000001</v>
      </c>
      <c r="E10">
        <v>73.38</v>
      </c>
      <c r="F10" s="11">
        <f t="shared" si="3"/>
        <v>6.2226240000000006</v>
      </c>
      <c r="I10" s="4" t="s">
        <v>41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A11" s="5">
        <v>45200</v>
      </c>
      <c r="B11" s="11">
        <v>90.34</v>
      </c>
      <c r="C11" s="11" t="s">
        <v>53</v>
      </c>
      <c r="D11" s="11">
        <f>(0.1058*B11+1.5)*1.06</f>
        <v>11.721450320000002</v>
      </c>
      <c r="E11">
        <v>74.77</v>
      </c>
      <c r="F11" s="11">
        <f>(0.08*E11-0.5)*1.06</f>
        <v>5.8104960000000005</v>
      </c>
    </row>
    <row r="12" spans="1:18" x14ac:dyDescent="0.3">
      <c r="A12" s="5">
        <v>45231</v>
      </c>
      <c r="B12" s="11">
        <v>96.17</v>
      </c>
      <c r="C12" s="11" t="s">
        <v>54</v>
      </c>
      <c r="D12" s="11">
        <f>(0.1058*B12+1.2)*1.06</f>
        <v>12.057273160000001</v>
      </c>
      <c r="E12">
        <v>86.49</v>
      </c>
      <c r="F12" s="11">
        <f>(0.08*E12-0.5)*1.06</f>
        <v>6.8043520000000006</v>
      </c>
      <c r="I12" s="4" t="s">
        <v>69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A13" s="5">
        <v>45261</v>
      </c>
      <c r="B13" s="11">
        <v>71.27</v>
      </c>
      <c r="C13" s="11" t="s">
        <v>55</v>
      </c>
      <c r="D13" s="11">
        <f>(0.1058*B13+1.2)*1.06</f>
        <v>9.2647879599999996</v>
      </c>
      <c r="E13">
        <v>74.56</v>
      </c>
      <c r="F13" s="11">
        <f>(0.08*E13-0.5)*1.06</f>
        <v>5.7926880000000009</v>
      </c>
      <c r="I13" s="4" t="s">
        <v>67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A14" s="5"/>
      <c r="I14" s="14" t="s">
        <v>68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A15" s="1" t="s">
        <v>14</v>
      </c>
      <c r="B15" s="1" t="s">
        <v>71</v>
      </c>
      <c r="C15" s="1" t="s">
        <v>43</v>
      </c>
      <c r="D15" s="1" t="s">
        <v>31</v>
      </c>
      <c r="E15" s="1" t="s">
        <v>72</v>
      </c>
      <c r="F15" s="1" t="s">
        <v>32</v>
      </c>
    </row>
    <row r="16" spans="1:18" x14ac:dyDescent="0.3">
      <c r="A16" s="5">
        <v>45292</v>
      </c>
      <c r="B16" s="11">
        <v>80.87</v>
      </c>
      <c r="C16" s="11" t="s">
        <v>56</v>
      </c>
      <c r="D16" s="11">
        <f>(0.1058*80.87+1.2)*1.06</f>
        <v>10.34140876</v>
      </c>
      <c r="E16" s="11">
        <v>78.180000000000007</v>
      </c>
      <c r="F16" s="11">
        <f>(0.08*78.18-0.5)*1.06</f>
        <v>6.0996640000000006</v>
      </c>
    </row>
    <row r="17" spans="1:6" x14ac:dyDescent="0.3">
      <c r="A17" s="5">
        <v>45323</v>
      </c>
      <c r="B17" s="11">
        <v>63.13</v>
      </c>
      <c r="C17" s="11" t="s">
        <v>57</v>
      </c>
      <c r="D17" s="11">
        <f>(0.1058*63.13+1.2)*1.06</f>
        <v>8.3519032400000004</v>
      </c>
      <c r="E17" s="11">
        <v>61.3</v>
      </c>
      <c r="F17" s="11">
        <f>(0.08*61.3-0.5)*1.06</f>
        <v>4.6682399999999999</v>
      </c>
    </row>
    <row r="18" spans="1:6" x14ac:dyDescent="0.3">
      <c r="A18" s="5">
        <v>45352</v>
      </c>
      <c r="B18" s="11">
        <v>63.19</v>
      </c>
      <c r="C18" s="11" t="s">
        <v>58</v>
      </c>
      <c r="D18" s="11">
        <f>(0.1058*63.19+1)*1.06</f>
        <v>8.1466321200000014</v>
      </c>
      <c r="E18" s="11">
        <v>47.59</v>
      </c>
      <c r="F18" s="11">
        <f>(0.08*47.59-0.5)*1.06</f>
        <v>3.5056320000000007</v>
      </c>
    </row>
    <row r="19" spans="1:6" x14ac:dyDescent="0.3">
      <c r="A19" s="5">
        <v>45383</v>
      </c>
      <c r="B19" s="11">
        <v>48.86</v>
      </c>
      <c r="C19" s="11" t="s">
        <v>59</v>
      </c>
      <c r="D19" s="11">
        <f>(0.1058*48.86+1)*1.06</f>
        <v>6.5395512800000013</v>
      </c>
      <c r="E19" s="11">
        <v>33.15</v>
      </c>
      <c r="F19" s="11">
        <f>(0.08*33.15-0.5)*1.06</f>
        <v>2.28112</v>
      </c>
    </row>
    <row r="20" spans="1:6" x14ac:dyDescent="0.3">
      <c r="A20" s="5">
        <v>45413</v>
      </c>
      <c r="B20" s="11">
        <v>54.89</v>
      </c>
      <c r="C20" s="11" t="s">
        <v>60</v>
      </c>
      <c r="D20" s="11">
        <f>(0.1058*54.89+1)*1.06</f>
        <v>7.2158037200000011</v>
      </c>
      <c r="E20" s="11">
        <v>31.8</v>
      </c>
      <c r="F20" s="11">
        <f>(0.089*31.8-0.5)*1.06</f>
        <v>2.4700120000000001</v>
      </c>
    </row>
    <row r="21" spans="1:6" x14ac:dyDescent="0.3">
      <c r="A21" s="5">
        <v>45444</v>
      </c>
      <c r="B21" s="11">
        <v>60.14</v>
      </c>
      <c r="C21" s="11" t="s">
        <v>61</v>
      </c>
      <c r="D21" s="11">
        <f>(0.1058*60.14+1)*1.06</f>
        <v>7.8045807200000015</v>
      </c>
      <c r="E21" s="11">
        <v>32.4</v>
      </c>
      <c r="F21" s="11">
        <f>(0.085*32.4-0.5)*1.06</f>
        <v>2.38924</v>
      </c>
    </row>
    <row r="22" spans="1:6" x14ac:dyDescent="0.3">
      <c r="A22" s="5">
        <v>45474</v>
      </c>
      <c r="B22" s="11">
        <v>55.14</v>
      </c>
      <c r="C22" s="11" t="s">
        <v>62</v>
      </c>
      <c r="D22" s="11">
        <f>(0.1058*55.14+1)*1.06</f>
        <v>7.2438407200000006</v>
      </c>
      <c r="E22" s="11">
        <v>32.44</v>
      </c>
      <c r="F22" s="11">
        <f>(0.085*32.44-0.5)*1.06</f>
        <v>2.3928440000000002</v>
      </c>
    </row>
    <row r="23" spans="1:6" x14ac:dyDescent="0.3">
      <c r="A23" s="5">
        <v>45505</v>
      </c>
      <c r="B23" s="11">
        <v>66.87</v>
      </c>
      <c r="C23" s="11" t="s">
        <v>63</v>
      </c>
      <c r="D23" s="11">
        <f>(0.1058*66.87+1.2)*1.06</f>
        <v>8.7713367600000005</v>
      </c>
      <c r="E23" s="11">
        <v>33.57</v>
      </c>
      <c r="F23" s="11">
        <f>(0.085*33.57-0.5)*1.06</f>
        <v>2.4946570000000001</v>
      </c>
    </row>
    <row r="24" spans="1:6" x14ac:dyDescent="0.3">
      <c r="A24" s="5">
        <v>45536</v>
      </c>
      <c r="B24" s="11">
        <v>68.55</v>
      </c>
      <c r="C24" s="11" t="s">
        <v>64</v>
      </c>
      <c r="D24" s="11">
        <f>(0.1058*68.55+1.2)*1.06</f>
        <v>8.9597453999999992</v>
      </c>
      <c r="E24" s="11">
        <v>43.77</v>
      </c>
      <c r="F24" s="11">
        <f>(0.085*43.77-0.5)*1.06</f>
        <v>3.4136770000000007</v>
      </c>
    </row>
    <row r="25" spans="1:6" x14ac:dyDescent="0.3">
      <c r="A25" s="5">
        <v>45566</v>
      </c>
      <c r="B25" s="11">
        <v>81.89</v>
      </c>
      <c r="C25" s="11" t="s">
        <v>65</v>
      </c>
      <c r="D25" s="11">
        <f>(0.1058*81.89+1.2)*1.06</f>
        <v>10.45579972</v>
      </c>
      <c r="E25" s="11">
        <v>65.680000000000007</v>
      </c>
      <c r="F25" s="11">
        <f>(0.095*65.68-3)*1.06</f>
        <v>3.4339760000000012</v>
      </c>
    </row>
    <row r="26" spans="1:6" x14ac:dyDescent="0.3">
      <c r="A26" s="5">
        <v>45597</v>
      </c>
      <c r="B26" s="11">
        <v>112.12</v>
      </c>
      <c r="C26" s="11" t="s">
        <v>66</v>
      </c>
      <c r="D26" s="11">
        <f>(0.1058*112.12+1.2)*1.06</f>
        <v>13.846033760000001</v>
      </c>
      <c r="E26" s="11">
        <v>104.6</v>
      </c>
      <c r="F26" s="11">
        <f>(0.095*104.6-3)*1.06</f>
        <v>7.3532199999999994</v>
      </c>
    </row>
    <row r="27" spans="1:6" x14ac:dyDescent="0.3">
      <c r="A27" s="5">
        <v>45627</v>
      </c>
      <c r="B27" s="11">
        <v>108.8</v>
      </c>
      <c r="C27" s="11" t="s">
        <v>70</v>
      </c>
      <c r="D27" s="11">
        <f>(0.1058*108.8+1.2)*1.06</f>
        <v>13.473702399999999</v>
      </c>
      <c r="E27" s="11">
        <v>115.8</v>
      </c>
      <c r="F27" s="11">
        <f>(0.095*115.8-3)*1.06</f>
        <v>8.4810599999999994</v>
      </c>
    </row>
  </sheetData>
  <phoneticPr fontId="6" type="noConversion"/>
  <hyperlinks>
    <hyperlink ref="I14" r:id="rId1" xr:uid="{88333D35-430D-4D39-AAA7-7B569442004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4F598-FE63-45CF-AD7E-1D743B1F32BF}">
  <dimension ref="A1:U52"/>
  <sheetViews>
    <sheetView workbookViewId="0">
      <selection activeCell="G56" sqref="G56"/>
    </sheetView>
  </sheetViews>
  <sheetFormatPr defaultRowHeight="14.4" x14ac:dyDescent="0.3"/>
  <cols>
    <col min="2" max="2" width="13.88671875" bestFit="1" customWidth="1"/>
    <col min="3" max="3" width="12.88671875" bestFit="1" customWidth="1"/>
    <col min="4" max="4" width="10.77734375" bestFit="1" customWidth="1"/>
  </cols>
  <sheetData>
    <row r="1" spans="1:1" x14ac:dyDescent="0.3">
      <c r="A1" s="1" t="s">
        <v>0</v>
      </c>
    </row>
    <row r="2" spans="1:1" x14ac:dyDescent="0.3">
      <c r="A2" t="s">
        <v>1</v>
      </c>
    </row>
    <row r="3" spans="1:1" x14ac:dyDescent="0.3">
      <c r="A3" t="s">
        <v>2</v>
      </c>
    </row>
    <row r="4" spans="1:1" x14ac:dyDescent="0.3">
      <c r="A4" t="s">
        <v>3</v>
      </c>
    </row>
    <row r="6" spans="1:1" x14ac:dyDescent="0.3">
      <c r="A6" s="1" t="s">
        <v>4</v>
      </c>
    </row>
    <row r="7" spans="1:1" x14ac:dyDescent="0.3">
      <c r="A7" t="s">
        <v>5</v>
      </c>
    </row>
    <row r="8" spans="1:1" x14ac:dyDescent="0.3">
      <c r="A8" t="s">
        <v>6</v>
      </c>
    </row>
    <row r="9" spans="1:1" x14ac:dyDescent="0.3">
      <c r="A9" t="s">
        <v>7</v>
      </c>
    </row>
    <row r="10" spans="1:1" x14ac:dyDescent="0.3">
      <c r="A10" t="s">
        <v>8</v>
      </c>
    </row>
    <row r="11" spans="1:1" x14ac:dyDescent="0.3">
      <c r="A11" t="s">
        <v>9</v>
      </c>
    </row>
    <row r="12" spans="1:1" x14ac:dyDescent="0.3">
      <c r="A12" t="s">
        <v>10</v>
      </c>
    </row>
    <row r="13" spans="1:1" x14ac:dyDescent="0.3">
      <c r="A13" t="s">
        <v>11</v>
      </c>
    </row>
    <row r="16" spans="1:1" x14ac:dyDescent="0.3">
      <c r="A16" t="s">
        <v>12</v>
      </c>
    </row>
    <row r="17" spans="1:21" x14ac:dyDescent="0.3">
      <c r="A17" s="2">
        <v>268.85000000000002</v>
      </c>
    </row>
    <row r="19" spans="1:21" x14ac:dyDescent="0.3">
      <c r="A19" t="s">
        <v>13</v>
      </c>
    </row>
    <row r="20" spans="1:21" x14ac:dyDescent="0.3">
      <c r="A20" t="s">
        <v>14</v>
      </c>
      <c r="B20" t="s">
        <v>15</v>
      </c>
      <c r="C20" t="s">
        <v>16</v>
      </c>
      <c r="D20" t="s">
        <v>17</v>
      </c>
      <c r="J20" s="3" t="s">
        <v>18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x14ac:dyDescent="0.3">
      <c r="A21" s="5">
        <v>44927</v>
      </c>
      <c r="B21" s="6"/>
      <c r="C21" s="7"/>
      <c r="D21" s="8">
        <f>(B21*Tarieven!D2-Voorbeeld!C21*Tarieven!F2)/100</f>
        <v>0</v>
      </c>
      <c r="J21" s="4" t="s">
        <v>19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x14ac:dyDescent="0.3">
      <c r="A22" s="5">
        <v>44958</v>
      </c>
      <c r="B22" s="6"/>
      <c r="C22" s="7"/>
      <c r="D22" s="8">
        <f>(B22*Tarieven!D3-Voorbeeld!C22*Tarieven!F3)/100</f>
        <v>0</v>
      </c>
      <c r="J22" s="4" t="s">
        <v>20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x14ac:dyDescent="0.3">
      <c r="A23" s="5">
        <v>44986</v>
      </c>
      <c r="B23" s="6"/>
      <c r="C23" s="7"/>
      <c r="D23" s="8">
        <f>(B23*Tarieven!D4-Voorbeeld!C23*Tarieven!F4)/100</f>
        <v>0</v>
      </c>
      <c r="J23" s="4" t="s">
        <v>21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x14ac:dyDescent="0.3">
      <c r="A24" s="5">
        <v>45017</v>
      </c>
      <c r="B24" s="6"/>
      <c r="C24" s="7"/>
      <c r="D24" s="8">
        <f>(B24*Tarieven!D5-Voorbeeld!C24*Tarieven!F5)/100</f>
        <v>0</v>
      </c>
      <c r="J24" s="4" t="s">
        <v>22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x14ac:dyDescent="0.3">
      <c r="A25" s="5">
        <v>45047</v>
      </c>
      <c r="B25" s="6"/>
      <c r="C25" s="7"/>
      <c r="D25" s="8">
        <f>(B25*Tarieven!D6-Voorbeeld!C25*Tarieven!F6)/100</f>
        <v>0</v>
      </c>
      <c r="J25" s="4" t="s">
        <v>23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x14ac:dyDescent="0.3">
      <c r="A26" s="5">
        <v>45078</v>
      </c>
      <c r="B26" s="6"/>
      <c r="C26" s="7"/>
      <c r="D26" s="8">
        <f>(B26*Tarieven!D7-Voorbeeld!C26*Tarieven!F7)/100</f>
        <v>0</v>
      </c>
      <c r="J26" s="4" t="s">
        <v>24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x14ac:dyDescent="0.3">
      <c r="A27" s="5">
        <v>45108</v>
      </c>
      <c r="B27" s="6"/>
      <c r="C27" s="7"/>
      <c r="D27" s="8">
        <f>(B27*Tarieven!D8-Voorbeeld!C27*Tarieven!F8)/100</f>
        <v>0</v>
      </c>
      <c r="J27" s="4" t="s">
        <v>25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x14ac:dyDescent="0.3">
      <c r="A28" s="5">
        <v>45139</v>
      </c>
      <c r="B28" s="6"/>
      <c r="C28" s="7"/>
      <c r="D28" s="8">
        <f>(B28*Tarieven!D9-Voorbeeld!C28*Tarieven!F9)/100</f>
        <v>0</v>
      </c>
      <c r="J28" s="4" t="s">
        <v>26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x14ac:dyDescent="0.3">
      <c r="A29" s="5">
        <v>45170</v>
      </c>
      <c r="B29" s="6"/>
      <c r="C29" s="7"/>
      <c r="D29" s="8">
        <f>(B29*Tarieven!D10-Voorbeeld!C29*Tarieven!F10)/100</f>
        <v>0</v>
      </c>
      <c r="J29" s="4" t="s">
        <v>27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x14ac:dyDescent="0.3">
      <c r="A30" s="5">
        <v>45200</v>
      </c>
      <c r="B30" s="6">
        <v>304</v>
      </c>
      <c r="C30" s="7">
        <v>497</v>
      </c>
      <c r="D30" s="8">
        <f>(B30*Tarieven!D11-Voorbeeld!C30*Tarieven!F11)/100</f>
        <v>6.7550438528000036</v>
      </c>
    </row>
    <row r="31" spans="1:21" x14ac:dyDescent="0.3">
      <c r="A31" s="5">
        <v>45231</v>
      </c>
      <c r="B31" s="6">
        <v>486</v>
      </c>
      <c r="C31" s="7">
        <v>143</v>
      </c>
      <c r="D31" s="8">
        <f>(B31*Tarieven!D12-Voorbeeld!C31*Tarieven!F12)/100</f>
        <v>48.868124197600011</v>
      </c>
    </row>
    <row r="32" spans="1:21" x14ac:dyDescent="0.3">
      <c r="A32" s="5">
        <v>45261</v>
      </c>
      <c r="B32" s="6">
        <v>561</v>
      </c>
      <c r="C32" s="7">
        <v>92</v>
      </c>
      <c r="D32" s="8">
        <f>(B32*Tarieven!D13-Voorbeeld!C32*Tarieven!F13)/100</f>
        <v>46.646187495599996</v>
      </c>
    </row>
    <row r="33" spans="1:4" x14ac:dyDescent="0.3">
      <c r="A33" s="5">
        <v>45292</v>
      </c>
      <c r="B33" s="6">
        <v>536</v>
      </c>
      <c r="C33" s="7">
        <v>213</v>
      </c>
      <c r="D33" s="8">
        <f>(B33*Tarieven!D16-Voorbeeld!C33*Tarieven!F16)/100</f>
        <v>42.437666633600003</v>
      </c>
    </row>
    <row r="34" spans="1:4" x14ac:dyDescent="0.3">
      <c r="A34" s="5">
        <v>45323</v>
      </c>
      <c r="B34" s="6">
        <v>542</v>
      </c>
      <c r="C34" s="7">
        <v>125</v>
      </c>
      <c r="D34" s="8">
        <f>(B34*Tarieven!D17-Voorbeeld!C34*Tarieven!F17)/100</f>
        <v>39.432015560800004</v>
      </c>
    </row>
    <row r="35" spans="1:4" x14ac:dyDescent="0.3">
      <c r="A35" s="5">
        <v>45352</v>
      </c>
      <c r="B35" s="6">
        <v>295</v>
      </c>
      <c r="C35" s="7">
        <v>415</v>
      </c>
      <c r="D35" s="8">
        <f>(B35*Tarieven!D18-Voorbeeld!C35*Tarieven!F18)/100</f>
        <v>9.4841919539999999</v>
      </c>
    </row>
    <row r="36" spans="1:4" x14ac:dyDescent="0.3">
      <c r="A36" s="5">
        <v>45383</v>
      </c>
      <c r="B36" s="6">
        <v>214</v>
      </c>
      <c r="C36" s="7">
        <v>612</v>
      </c>
      <c r="D36" s="8">
        <f>(B36*Tarieven!D19-Voorbeeld!C36*Tarieven!F19)/100</f>
        <v>3.4185339200000726E-2</v>
      </c>
    </row>
    <row r="37" spans="1:4" x14ac:dyDescent="0.3">
      <c r="A37" s="5">
        <v>45413</v>
      </c>
      <c r="B37" s="6">
        <v>87</v>
      </c>
      <c r="C37" s="7">
        <v>723</v>
      </c>
      <c r="D37" s="8">
        <f>(B37*Tarieven!D20-Voorbeeld!C37*Tarieven!F20)/100</f>
        <v>-11.580437523599999</v>
      </c>
    </row>
    <row r="38" spans="1:4" x14ac:dyDescent="0.3">
      <c r="A38" s="5">
        <v>45444</v>
      </c>
      <c r="B38" s="6">
        <v>139</v>
      </c>
      <c r="C38" s="7">
        <v>847</v>
      </c>
      <c r="D38" s="8">
        <f>(B38*Tarieven!D21-Voorbeeld!C38*Tarieven!F21)/100</f>
        <v>-9.3884955991999988</v>
      </c>
    </row>
    <row r="39" spans="1:4" x14ac:dyDescent="0.3">
      <c r="A39" s="5">
        <v>45474</v>
      </c>
      <c r="B39" s="6">
        <v>211</v>
      </c>
      <c r="C39" s="7">
        <v>746</v>
      </c>
      <c r="D39" s="8">
        <f>(B39*Tarieven!D22-Voorbeeld!C39*Tarieven!F22)/100</f>
        <v>-2.5661123208000003</v>
      </c>
    </row>
    <row r="40" spans="1:4" x14ac:dyDescent="0.3">
      <c r="A40" s="5">
        <v>45505</v>
      </c>
      <c r="B40" s="6">
        <v>226</v>
      </c>
      <c r="C40" s="7">
        <v>717</v>
      </c>
      <c r="D40" s="8">
        <f>(B40*Tarieven!D23-Voorbeeld!C40*Tarieven!F23)/100</f>
        <v>1.9365303876000006</v>
      </c>
    </row>
    <row r="41" spans="1:4" x14ac:dyDescent="0.3">
      <c r="A41" s="5">
        <v>45536</v>
      </c>
      <c r="B41" s="6">
        <v>346</v>
      </c>
      <c r="C41" s="7">
        <v>443</v>
      </c>
      <c r="D41" s="8">
        <f>(B41*Tarieven!D24-Voorbeeld!C41*Tarieven!F24)/100</f>
        <v>15.878129973999995</v>
      </c>
    </row>
    <row r="42" spans="1:4" x14ac:dyDescent="0.3">
      <c r="A42" s="5">
        <v>45566</v>
      </c>
      <c r="B42" s="6">
        <v>613</v>
      </c>
      <c r="C42" s="7">
        <v>253</v>
      </c>
      <c r="D42" s="8">
        <f>(B42*Tarieven!D25-Voorbeeld!C42*Tarieven!F25)/100</f>
        <v>55.406093003599999</v>
      </c>
    </row>
    <row r="43" spans="1:4" x14ac:dyDescent="0.3">
      <c r="A43" s="5">
        <v>45597</v>
      </c>
      <c r="B43" s="6"/>
      <c r="C43" s="7"/>
      <c r="D43" s="8">
        <f>(B43*Tarieven!D26-Voorbeeld!C43*Tarieven!F26)/100</f>
        <v>0</v>
      </c>
    </row>
    <row r="44" spans="1:4" x14ac:dyDescent="0.3">
      <c r="A44" s="5">
        <v>45627</v>
      </c>
      <c r="B44" s="6"/>
      <c r="C44" s="7"/>
      <c r="D44" s="8">
        <f>(B44*Tarieven!D27-Voorbeeld!C44*Tarieven!F27)/100</f>
        <v>0</v>
      </c>
    </row>
    <row r="46" spans="1:4" x14ac:dyDescent="0.3">
      <c r="A46" t="s">
        <v>28</v>
      </c>
    </row>
    <row r="47" spans="1:4" x14ac:dyDescent="0.3">
      <c r="A47" s="9">
        <f>SUM(D21:D44)</f>
        <v>243.34312295520002</v>
      </c>
    </row>
    <row r="49" spans="1:4" x14ac:dyDescent="0.3">
      <c r="A49" t="s">
        <v>29</v>
      </c>
    </row>
    <row r="50" spans="1:4" x14ac:dyDescent="0.3">
      <c r="A50" s="10">
        <f>A47-A17</f>
        <v>-25.506877044800007</v>
      </c>
    </row>
    <row r="52" spans="1:4" x14ac:dyDescent="0.3">
      <c r="A52" s="13" t="s">
        <v>42</v>
      </c>
      <c r="B52" s="13"/>
      <c r="C52" s="13"/>
      <c r="D52" s="13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A7FB07CD7B6E4892E41C00FE2F0988" ma:contentTypeVersion="15" ma:contentTypeDescription="Een nieuw document maken." ma:contentTypeScope="" ma:versionID="62664fcbf6596c32200443ffc0e482be">
  <xsd:schema xmlns:xsd="http://www.w3.org/2001/XMLSchema" xmlns:xs="http://www.w3.org/2001/XMLSchema" xmlns:p="http://schemas.microsoft.com/office/2006/metadata/properties" xmlns:ns2="b3b18add-a52c-4c60-b654-44104900924e" xmlns:ns3="1cea275a-2c92-443a-995c-bde10713f084" targetNamespace="http://schemas.microsoft.com/office/2006/metadata/properties" ma:root="true" ma:fieldsID="a0084529ed9ae9eb7258e1e6bd97c0f1" ns2:_="" ns3:_="">
    <xsd:import namespace="b3b18add-a52c-4c60-b654-44104900924e"/>
    <xsd:import namespace="1cea275a-2c92-443a-995c-bde10713f0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b18add-a52c-4c60-b654-4410490092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fbeeldingtags" ma:readOnly="false" ma:fieldId="{5cf76f15-5ced-4ddc-b409-7134ff3c332f}" ma:taxonomyMulti="true" ma:sspId="190eb268-4b3a-4c42-aa39-3eb8113634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ea275a-2c92-443a-995c-bde10713f08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c2874d4-05dc-4031-8b6f-56281629ad3a}" ma:internalName="TaxCatchAll" ma:showField="CatchAllData" ma:web="1cea275a-2c92-443a-995c-bde10713f0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b18add-a52c-4c60-b654-44104900924e">
      <Terms xmlns="http://schemas.microsoft.com/office/infopath/2007/PartnerControls"/>
    </lcf76f155ced4ddcb4097134ff3c332f>
    <TaxCatchAll xmlns="1cea275a-2c92-443a-995c-bde10713f08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23A67E-FF04-4D86-92A2-CD1C89B315A9}"/>
</file>

<file path=customXml/itemProps2.xml><?xml version="1.0" encoding="utf-8"?>
<ds:datastoreItem xmlns:ds="http://schemas.openxmlformats.org/officeDocument/2006/customXml" ds:itemID="{653BE2EB-1ED1-48A1-A052-EF32EC9E6584}">
  <ds:schemaRefs>
    <ds:schemaRef ds:uri="http://schemas.microsoft.com/office/2006/metadata/properties"/>
    <ds:schemaRef ds:uri="http://schemas.microsoft.com/office/infopath/2007/PartnerControls"/>
    <ds:schemaRef ds:uri="b3b18add-a52c-4c60-b654-44104900924e"/>
    <ds:schemaRef ds:uri="1cea275a-2c92-443a-995c-bde10713f084"/>
  </ds:schemaRefs>
</ds:datastoreItem>
</file>

<file path=customXml/itemProps3.xml><?xml version="1.0" encoding="utf-8"?>
<ds:datastoreItem xmlns:ds="http://schemas.openxmlformats.org/officeDocument/2006/customXml" ds:itemID="{86B3C961-B35D-4131-A878-1C203A53B7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Berekening</vt:lpstr>
      <vt:lpstr>Tarieven</vt:lpstr>
      <vt:lpstr>Voorbeeld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Van Aelst</dc:creator>
  <cp:lastModifiedBy>Lynn Van Aelst</cp:lastModifiedBy>
  <dcterms:created xsi:type="dcterms:W3CDTF">2024-12-06T09:39:43Z</dcterms:created>
  <dcterms:modified xsi:type="dcterms:W3CDTF">2025-01-14T08:58:49Z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0x010100B2A7FB07CD7B6E4892E41C00FE2F0988</vt:lpwstr>
  </property>
  <property fmtid="{D5CDD505-2E9C-101B-9397-08002B2CF9AE}" pid="3" name="MediaServiceImageTags">
    <vt:lpwstr/>
  </property>
</Properties>
</file>